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6D5775DC-84FB-4268-ABAC-0F4D0F339DAC}" xr6:coauthVersionLast="46" xr6:coauthVersionMax="46" xr10:uidLastSave="{00000000-0000-0000-0000-000000000000}"/>
  <bookViews>
    <workbookView xWindow="384" yWindow="384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I20" i="1"/>
  <c r="H20" i="1"/>
  <c r="J20" i="1" s="1"/>
  <c r="G20" i="1"/>
  <c r="F20" i="1"/>
  <c r="L19" i="1"/>
  <c r="K19" i="1"/>
  <c r="I19" i="1"/>
  <c r="H19" i="1"/>
  <c r="J19" i="1" s="1"/>
  <c r="G19" i="1"/>
  <c r="F19" i="1"/>
  <c r="L18" i="1"/>
  <c r="K18" i="1"/>
  <c r="I18" i="1"/>
  <c r="H18" i="1"/>
  <c r="J18" i="1" s="1"/>
  <c r="G18" i="1"/>
  <c r="F18" i="1"/>
  <c r="L17" i="1"/>
  <c r="K17" i="1"/>
  <c r="I17" i="1"/>
  <c r="H17" i="1"/>
  <c r="J17" i="1" s="1"/>
  <c r="G17" i="1"/>
  <c r="F17" i="1"/>
  <c r="L16" i="1"/>
  <c r="K16" i="1"/>
  <c r="J16" i="1"/>
  <c r="I16" i="1"/>
  <c r="I15" i="1" s="1"/>
  <c r="H16" i="1"/>
  <c r="G16" i="1"/>
  <c r="F16" i="1"/>
  <c r="F15" i="1" s="1"/>
  <c r="K15" i="1"/>
  <c r="H15" i="1"/>
  <c r="J15" i="1" s="1"/>
  <c r="G15" i="1"/>
  <c r="J11" i="1"/>
  <c r="L10" i="1"/>
  <c r="L8" i="1" s="1"/>
  <c r="L5" i="1" s="1"/>
  <c r="K10" i="1"/>
  <c r="K7" i="1" s="1"/>
  <c r="J10" i="1"/>
  <c r="I10" i="1"/>
  <c r="H10" i="1"/>
  <c r="G10" i="1"/>
  <c r="F10" i="1"/>
  <c r="F7" i="1" s="1"/>
  <c r="L9" i="1"/>
  <c r="K9" i="1"/>
  <c r="K8" i="1" s="1"/>
  <c r="K5" i="1" s="1"/>
  <c r="J9" i="1"/>
  <c r="I9" i="1"/>
  <c r="I6" i="1" s="1"/>
  <c r="H9" i="1"/>
  <c r="G9" i="1"/>
  <c r="G8" i="1" s="1"/>
  <c r="G5" i="1" s="1"/>
  <c r="F9" i="1"/>
  <c r="F8" i="1" s="1"/>
  <c r="F5" i="1" s="1"/>
  <c r="I8" i="1"/>
  <c r="H8" i="1"/>
  <c r="H5" i="1" s="1"/>
  <c r="L7" i="1"/>
  <c r="I7" i="1"/>
  <c r="H7" i="1"/>
  <c r="J7" i="1" s="1"/>
  <c r="G7" i="1"/>
  <c r="L6" i="1"/>
  <c r="K6" i="1"/>
  <c r="H6" i="1"/>
  <c r="J6" i="1" s="1"/>
  <c r="G6" i="1"/>
  <c r="F6" i="1"/>
  <c r="I5" i="1" l="1"/>
  <c r="J5" i="1" s="1"/>
  <c r="J8" i="1"/>
</calcChain>
</file>

<file path=xl/sharedStrings.xml><?xml version="1.0" encoding="utf-8"?>
<sst xmlns="http://schemas.openxmlformats.org/spreadsheetml/2006/main" count="50" uniqueCount="41">
  <si>
    <t>Sprawozdanie z wykonania budżetu Gminy Trzcińsko - Zdrój za 2020 rok - część tabelaryczna</t>
  </si>
  <si>
    <t>Informacja o realizacji przedsięwzięć za 2020 rok ujętych w Wieloletniej prognozie finansowej Gminy Trzcińsko-Zdrój</t>
  </si>
  <si>
    <t>Lp.</t>
  </si>
  <si>
    <t>Nazwa i cel</t>
  </si>
  <si>
    <t>Jednostka</t>
  </si>
  <si>
    <t>Od</t>
  </si>
  <si>
    <t>Do</t>
  </si>
  <si>
    <t>Nakłady</t>
  </si>
  <si>
    <t>Plan na 1.01.2020 r.</t>
  </si>
  <si>
    <t>Plan po zmianach na 31.12.2020 r.</t>
  </si>
  <si>
    <t>Wykonanie</t>
  </si>
  <si>
    <t>Stopień realizacji w 2020 r.</t>
  </si>
  <si>
    <t>Limit zobowiązań</t>
  </si>
  <si>
    <t>Uwagi</t>
  </si>
  <si>
    <t>1</t>
  </si>
  <si>
    <t>Przedsięwzięcia razem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</si>
  <si>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</si>
  <si>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</si>
  <si>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</si>
  <si>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</si>
  <si>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</si>
  <si>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</si>
  <si>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</t>
  </si>
  <si>
    <t>1.1.2</t>
  </si>
  <si>
    <t>1.1.2.1</t>
  </si>
  <si>
    <t>"Budowa sieci tras rowerowych Pomorza Zachodniego - Trasa Pojezierzy Zachodnich etap VI - Poprawa infrastruktury turystycznej</t>
  </si>
  <si>
    <t>Urząd Miejski</t>
  </si>
  <si>
    <t>1.1.2.2</t>
  </si>
  <si>
    <t>Termomodernizacja budynku Szkoły Podstawowej w Góralicach - Poprawa jakości życia mieszkańców</t>
  </si>
  <si>
    <t>1.1.2.3</t>
  </si>
  <si>
    <t>Rozbudowa i przebudowa oczyszczalni ścieków komunalnych w Trzcińsku-Zdroju - Zachowanie i ochrona środowiska naturalnego i wspieranie efektywnego gospodarowania zasobami</t>
  </si>
  <si>
    <t>1.1.2.4</t>
  </si>
  <si>
    <t>Sieci tras rowerowych Pomorza Zachodniego  - Poprawa infrastruktury turystycznej</t>
  </si>
  <si>
    <t>1.2</t>
  </si>
  <si>
    <t>Wydatki na programy, projekty lub zadania związane z umowami partnerstwa publiczno-prywatnego:</t>
  </si>
  <si>
    <t>1.2.1</t>
  </si>
  <si>
    <t>1.2.2</t>
  </si>
  <si>
    <t>1.3</t>
  </si>
  <si>
    <t>Wydatki na programy, projekty lub zadania pozostałe (inne niż wymienione w pkt 1.1 i 1.2):</t>
  </si>
  <si>
    <t>1.3.1</t>
  </si>
  <si>
    <t>1.3.2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</si>
</sst>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10" fontId="5" fillId="4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workbookViewId="0">
      <selection sqref="A1:L20"/>
    </sheetView>
  </sheetViews>
  <sheetFormatPr defaultRowHeight="14.4" x14ac:dyDescent="0.3"/>
  <sheetData>
    <row r="2" spans="1:12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1:12" x14ac:dyDescent="0.3">
      <c r="B3" s="4" t="s">
        <v>1</v>
      </c>
      <c r="C3" s="5"/>
      <c r="D3" s="5"/>
      <c r="E3" s="5"/>
      <c r="F3" s="5"/>
      <c r="G3" s="5"/>
      <c r="H3" s="5"/>
      <c r="I3" s="5"/>
      <c r="J3" s="5"/>
    </row>
    <row r="4" spans="1:12" ht="40.799999999999997" x14ac:dyDescent="0.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</row>
    <row r="5" spans="1:12" ht="20.399999999999999" x14ac:dyDescent="0.3">
      <c r="A5" s="7" t="s">
        <v>14</v>
      </c>
      <c r="B5" s="8" t="s">
        <v>15</v>
      </c>
      <c r="C5" s="8"/>
      <c r="D5" s="9"/>
      <c r="E5" s="9"/>
      <c r="F5" s="10">
        <f>IF(ISNUMBER(VLOOKUP("1.1",A5:L21,6,FALSE)),ROUND(VLOOKUP("1.1",A5:L21,6,FALSE),4),0) + IF(ISNUMBER(VLOOKUP("1.2",A5:L21,6,FALSE)),ROUND(VLOOKUP("1.2",A5:L21,6,FALSE),4),0) + IF(ISNUMBER(VLOOKUP("1.3",A5:L21,6,FALSE)),ROUND(VLOOKUP("1.3",A5:L21,6,FALSE),4),0)</f>
        <v>10775871.85</v>
      </c>
      <c r="G5" s="10">
        <f>IF(ISNUMBER(VLOOKUP("1.1",A5:L21,7,FALSE)),ROUND(VLOOKUP("1.1",A5:L21,7,FALSE),4),0) + IF(ISNUMBER(VLOOKUP("1.2",A5:L21,7,FALSE)),ROUND(VLOOKUP("1.2",A5:L21,7,FALSE),4),0) + IF(ISNUMBER(VLOOKUP("1.3",A5:L21,7,FALSE)),ROUND(VLOOKUP("1.3",A5:L21,7,FALSE),4),0)</f>
        <v>1497110.42</v>
      </c>
      <c r="H5" s="10">
        <f>IF(ISNUMBER(VLOOKUP("1.1",A5:L21,8,FALSE)),ROUND(VLOOKUP("1.1",A5:L21,8,FALSE),4),0) + IF(ISNUMBER(VLOOKUP("1.2",A5:L21,8,FALSE)),ROUND(VLOOKUP("1.2",A5:L21,8,FALSE),4),0) + IF(ISNUMBER(VLOOKUP("1.3",A5:L21,8,FALSE)),ROUND(VLOOKUP("1.3",A5:L21,8,FALSE),4),0)</f>
        <v>1550398.08</v>
      </c>
      <c r="I5" s="11">
        <f>IF(ISNUMBER(VLOOKUP("1.1",A5:L21,9,FALSE)),ROUND(VLOOKUP("1.1",A5:L21,9,FALSE),4),0) + IF(ISNUMBER(VLOOKUP("1.2",A5:L21,9,FALSE)),ROUND(VLOOKUP("1.2",A5:L21,9,FALSE),4),0) + IF(ISNUMBER(VLOOKUP("1.3",A5:L21,9,FALSE)),ROUND(VLOOKUP("1.3",A5:L21,9,FALSE),4),0)</f>
        <v>1522047.37</v>
      </c>
      <c r="J5" s="12">
        <f t="shared" ref="J5:J20" si="0">IF($H5=0,0,$I5/$H5)</f>
        <v>0.98171391569318767</v>
      </c>
      <c r="K5" s="10">
        <f>IF(ISNUMBER(VLOOKUP("1.1",A5:L21,11,FALSE)),ROUND(VLOOKUP("1.1",A5:L21,11,FALSE),4),0) + IF(ISNUMBER(VLOOKUP("1.2",A5:L21,11,FALSE)),ROUND(VLOOKUP("1.2",A5:L21,11,FALSE),4),0) + IF(ISNUMBER(VLOOKUP("1.3",A5:L21,11,FALSE)),ROUND(VLOOKUP("1.3",A5:L21,11,FALSE),4),0)</f>
        <v>10573561.77</v>
      </c>
      <c r="L5" s="13">
        <f>IF(ISNUMBER(VLOOKUP("1.1",A5:L21,12,FALSE)),ROUND(VLOOKUP("1.1",A5:L21,12,FALSE),4),0) + IF(ISNUMBER(VLOOKUP("1.2",A5:L21,12,FALSE)),ROUND(VLOOKUP("1.2",A5:L21,12,FALSE),4),0) + IF(ISNUMBER(VLOOKUP("1.3",A5:L21,12,FALSE)),ROUND(VLOOKUP("1.3",A5:L21,12,FALSE),4),0)</f>
        <v>0</v>
      </c>
    </row>
    <row r="6" spans="1:12" ht="20.399999999999999" x14ac:dyDescent="0.3">
      <c r="A6" s="7" t="s">
        <v>16</v>
      </c>
      <c r="B6" s="8" t="s">
        <v>17</v>
      </c>
      <c r="C6" s="8"/>
      <c r="D6" s="9"/>
      <c r="E6" s="9"/>
      <c r="F6" s="10">
        <f>IF(ISNUMBER(VLOOKUP("1.1.1",A5:L21,6,FALSE)),ROUND(VLOOKUP("1.1.1",A5:L21,6,FALSE),4),0) + IF(ISNUMBER(VLOOKUP("1.2.1",A5:L21,6,FALSE)),ROUND(VLOOKUP("1.2.1",A5:L21,6,FALSE),4),0) + IF(ISNUMBER(VLOOKUP("1.3.1",A5:L21,6,FALSE)),ROUND(VLOOKUP("1.3.1",A5:L21,6,FALSE),4),0)</f>
        <v>0</v>
      </c>
      <c r="G6" s="10">
        <f>IF(ISNUMBER(VLOOKUP("1.1.1",A5:L21,7,FALSE)),ROUND(VLOOKUP("1.1.1",A5:L21,7,FALSE),4),0) + IF(ISNUMBER(VLOOKUP("1.2.1",A5:L21,7,FALSE)),ROUND(VLOOKUP("1.2.1",A5:L21,7,FALSE),4),0) + IF(ISNUMBER(VLOOKUP("1.3.1",A5:L21,7,FALSE)),ROUND(VLOOKUP("1.3.1",A5:L21,7,FALSE),4),0)</f>
        <v>0</v>
      </c>
      <c r="H6" s="10">
        <f>IF(ISNUMBER(VLOOKUP("1.1.1",A5:L21,8,FALSE)),ROUND(VLOOKUP("1.1.1",A5:L21,8,FALSE),4),0) + IF(ISNUMBER(VLOOKUP("1.2.1",A5:L21,8,FALSE)),ROUND(VLOOKUP("1.2.1",A5:L21,8,FALSE),4),0) + IF(ISNUMBER(VLOOKUP("1.3.1",A5:L21,8,FALSE)),ROUND(VLOOKUP("1.3.1",A5:L21,8,FALSE),4),0)</f>
        <v>0</v>
      </c>
      <c r="I6" s="11">
        <f>IF(ISNUMBER(VLOOKUP("1.1.1",A5:L21,9,FALSE)),ROUND(VLOOKUP("1.1.1",A5:L21,9,FALSE),4),0) + IF(ISNUMBER(VLOOKUP("1.2.1",A5:L21,9,FALSE)),ROUND(VLOOKUP("1.2.1",A5:L21,9,FALSE),4),0) + IF(ISNUMBER(VLOOKUP("1.3.1",A5:L21,9,FALSE)),ROUND(VLOOKUP("1.3.1",A5:L21,9,FALSE),4),0)</f>
        <v>0</v>
      </c>
      <c r="J6" s="12">
        <f t="shared" si="0"/>
        <v>0</v>
      </c>
      <c r="K6" s="10">
        <f>IF(ISNUMBER(VLOOKUP("1.1.1",A5:L21,11,FALSE)),ROUND(VLOOKUP("1.1.1",A5:L21,11,FALSE),4),0) + IF(ISNUMBER(VLOOKUP("1.2.1",A5:L21,11,FALSE)),ROUND(VLOOKUP("1.2.1",A5:L21,11,FALSE),4),0) + IF(ISNUMBER(VLOOKUP("1.3.1",A5:L21,11,FALSE)),ROUND(VLOOKUP("1.3.1",A5:L21,11,FALSE),4),0)</f>
        <v>0</v>
      </c>
      <c r="L6" s="13">
        <f>IF(ISNUMBER(VLOOKUP("1.1.1",A5:L21,12,FALSE)),ROUND(VLOOKUP("1.1.1",A5:L21,12,FALSE),4),0) + IF(ISNUMBER(VLOOKUP("1.2.1",A5:L21,12,FALSE)),ROUND(VLOOKUP("1.2.1",A5:L21,12,FALSE),4),0) + IF(ISNUMBER(VLOOKUP("1.3.1",A5:L21,12,FALSE)),ROUND(VLOOKUP("1.3.1",A5:L21,12,FALSE),4),0)</f>
        <v>0</v>
      </c>
    </row>
    <row r="7" spans="1:12" ht="20.399999999999999" x14ac:dyDescent="0.3">
      <c r="A7" s="7" t="s">
        <v>18</v>
      </c>
      <c r="B7" s="8" t="s">
        <v>19</v>
      </c>
      <c r="C7" s="8"/>
      <c r="D7" s="9"/>
      <c r="E7" s="9"/>
      <c r="F7" s="10">
        <f>IF(ISNUMBER(VLOOKUP("1.1.2",A5:L21,6,FALSE)),ROUND(VLOOKUP("1.1.2",A5:L21,6,FALSE),4),0) + IF(ISNUMBER(VLOOKUP("1.2.2",A5:L21,6,FALSE)),ROUND(VLOOKUP("1.2.2",A5:L21,6,FALSE),4),0) + IF(ISNUMBER(VLOOKUP("1.3.2",A5:L21,6,FALSE)),ROUND(VLOOKUP("1.3.2",A5:L21,6,FALSE),4),0)</f>
        <v>10775871.85</v>
      </c>
      <c r="G7" s="10">
        <f>IF(ISNUMBER(VLOOKUP("1.1.2",A5:L21,7,FALSE)),ROUND(VLOOKUP("1.1.2",A5:L21,7,FALSE),4),0) + IF(ISNUMBER(VLOOKUP("1.2.2",A5:L21,7,FALSE)),ROUND(VLOOKUP("1.2.2",A5:L21,7,FALSE),4),0) + IF(ISNUMBER(VLOOKUP("1.3.2",A5:L21,7,FALSE)),ROUND(VLOOKUP("1.3.2",A5:L21,7,FALSE),4),0)</f>
        <v>1497110.42</v>
      </c>
      <c r="H7" s="10">
        <f>IF(ISNUMBER(VLOOKUP("1.1.2",A5:L21,8,FALSE)),ROUND(VLOOKUP("1.1.2",A5:L21,8,FALSE),4),0) + IF(ISNUMBER(VLOOKUP("1.2.2",A5:L21,8,FALSE)),ROUND(VLOOKUP("1.2.2",A5:L21,8,FALSE),4),0) + IF(ISNUMBER(VLOOKUP("1.3.2",A5:L21,8,FALSE)),ROUND(VLOOKUP("1.3.2",A5:L21,8,FALSE),4),0)</f>
        <v>1550398.08</v>
      </c>
      <c r="I7" s="11">
        <f>IF(ISNUMBER(VLOOKUP("1.1.2",A5:L21,9,FALSE)),ROUND(VLOOKUP("1.1.2",A5:L21,9,FALSE),4),0) + IF(ISNUMBER(VLOOKUP("1.2.2",A5:L21,9,FALSE)),ROUND(VLOOKUP("1.2.2",A5:L21,9,FALSE),4),0) + IF(ISNUMBER(VLOOKUP("1.3.2",A5:L21,9,FALSE)),ROUND(VLOOKUP("1.3.2",A5:L21,9,FALSE),4),0)</f>
        <v>1522047.37</v>
      </c>
      <c r="J7" s="12">
        <f t="shared" si="0"/>
        <v>0.98171391569318767</v>
      </c>
      <c r="K7" s="10">
        <f>IF(ISNUMBER(VLOOKUP("1.1.2",A5:L21,11,FALSE)),ROUND(VLOOKUP("1.1.2",A5:L21,11,FALSE),4),0) + IF(ISNUMBER(VLOOKUP("1.2.2",A5:L21,11,FALSE)),ROUND(VLOOKUP("1.2.2",A5:L21,11,FALSE),4),0) + IF(ISNUMBER(VLOOKUP("1.3.2",A5:L21,11,FALSE)),ROUND(VLOOKUP("1.3.2",A5:L21,11,FALSE),4),0)</f>
        <v>10573561.77</v>
      </c>
      <c r="L7" s="13">
        <f>IF(ISNUMBER(VLOOKUP("1.1.2",A5:L21,12,FALSE)),ROUND(VLOOKUP("1.1.2",A5:L21,12,FALSE),4),0) + IF(ISNUMBER(VLOOKUP("1.2.2",A5:L21,12,FALSE)),ROUND(VLOOKUP("1.2.2",A5:L21,12,FALSE),4),0) + IF(ISNUMBER(VLOOKUP("1.3.2",A5:L21,12,FALSE)),ROUND(VLOOKUP("1.3.2",A5:L21,12,FALSE),4),0)</f>
        <v>0</v>
      </c>
    </row>
    <row r="8" spans="1:12" ht="234.6" x14ac:dyDescent="0.3">
      <c r="A8" s="7" t="s">
        <v>20</v>
      </c>
      <c r="B8" s="8" t="s">
        <v>21</v>
      </c>
      <c r="C8" s="8"/>
      <c r="D8" s="9"/>
      <c r="E8" s="9"/>
      <c r="F8" s="10">
        <f>IF(ISNUMBER(VLOOKUP("1.1.1",A5:L21,6,FALSE)),ROUND(VLOOKUP("1.1.1",A5:L21,6,FALSE),4),0) + IF(ISNUMBER(VLOOKUP("1.1.2",A5:L21,6,FALSE)),ROUND(VLOOKUP("1.1.2",A5:L21,6,FALSE),4),0)</f>
        <v>10775871.85</v>
      </c>
      <c r="G8" s="10">
        <f>IF(ISNUMBER(VLOOKUP("1.1.1",A5:L21,7,FALSE)),ROUND(VLOOKUP("1.1.1",A5:L21,7,FALSE),4),0) + IF(ISNUMBER(VLOOKUP("1.1.2",A5:L21,7,FALSE)),ROUND(VLOOKUP("1.1.2",A5:L21,7,FALSE),4),0)</f>
        <v>1497110.42</v>
      </c>
      <c r="H8" s="10">
        <f>IF(ISNUMBER(VLOOKUP("1.1.1",A5:L21,8,FALSE)),ROUND(VLOOKUP("1.1.1",A5:L21,8,FALSE),4),0) + IF(ISNUMBER(VLOOKUP("1.1.2",A5:L21,8,FALSE)),ROUND(VLOOKUP("1.1.2",A5:L21,8,FALSE),4),0)</f>
        <v>1550398.08</v>
      </c>
      <c r="I8" s="11">
        <f>IF(ISNUMBER(VLOOKUP("1.1.1",A5:L21,9,FALSE)),ROUND(VLOOKUP("1.1.1",A5:L21,9,FALSE),4),0) + IF(ISNUMBER(VLOOKUP("1.1.2",A5:L21,9,FALSE)),ROUND(VLOOKUP("1.1.2",A5:L21,9,FALSE),4),0)</f>
        <v>1522047.37</v>
      </c>
      <c r="J8" s="12">
        <f t="shared" si="0"/>
        <v>0.98171391569318767</v>
      </c>
      <c r="K8" s="10">
        <f>IF(ISNUMBER(VLOOKUP("1.1.1",A5:L21,11,FALSE)),ROUND(VLOOKUP("1.1.1",A5:L21,11,FALSE),4),0) + IF(ISNUMBER(VLOOKUP("1.1.2",A5:L21,11,FALSE)),ROUND(VLOOKUP("1.1.2",A5:L21,11,FALSE),4),0)</f>
        <v>10573561.77</v>
      </c>
      <c r="L8" s="13">
        <f>IF(ISNUMBER(VLOOKUP("1.1.1",A5:L21,12,FALSE)),ROUND(VLOOKUP("1.1.1",A5:L21,12,FALSE),4),0) + IF(ISNUMBER(VLOOKUP("1.1.2",A5:L21,12,FALSE)),ROUND(VLOOKUP("1.1.2",A5:L21,12,FALSE),4),0)</f>
        <v>0</v>
      </c>
    </row>
    <row r="9" spans="1:12" ht="20.399999999999999" x14ac:dyDescent="0.3">
      <c r="A9" s="7" t="s">
        <v>22</v>
      </c>
      <c r="B9" s="8" t="s">
        <v>17</v>
      </c>
      <c r="C9" s="8"/>
      <c r="D9" s="9"/>
      <c r="E9" s="9"/>
      <c r="F9" s="10">
        <f>SUMIF(A10:A21, "1.1.1.*", F10:F21)</f>
        <v>0</v>
      </c>
      <c r="G9" s="10">
        <f>SUMIF(A10:A21, "1.1.1.*", G10:G21)</f>
        <v>0</v>
      </c>
      <c r="H9" s="10">
        <f>SUMIF(A10:A21, "1.1.1.*", H10:H21)</f>
        <v>0</v>
      </c>
      <c r="I9" s="11">
        <f>SUMIF(A10:A21, "1.1.1.*", I10:I21)</f>
        <v>0</v>
      </c>
      <c r="J9" s="12">
        <f t="shared" si="0"/>
        <v>0</v>
      </c>
      <c r="K9" s="10">
        <f>SUMIF(A10:A21, "1.1.1.*", K10:K21)</f>
        <v>0</v>
      </c>
      <c r="L9" s="13">
        <f>SUMIF(A10:A21, "1.1.1.*", L10:L21)</f>
        <v>0</v>
      </c>
    </row>
    <row r="10" spans="1:12" ht="20.399999999999999" x14ac:dyDescent="0.3">
      <c r="A10" s="7" t="s">
        <v>23</v>
      </c>
      <c r="B10" s="8" t="s">
        <v>19</v>
      </c>
      <c r="C10" s="8"/>
      <c r="D10" s="9"/>
      <c r="E10" s="9"/>
      <c r="F10" s="10">
        <f>SUMIF(A11:A21, "1.1.2.*", F11:F21)</f>
        <v>10775871.85</v>
      </c>
      <c r="G10" s="10">
        <f>SUMIF(A11:A21, "1.1.2.*", G11:G21)</f>
        <v>1497110.42</v>
      </c>
      <c r="H10" s="10">
        <f>SUMIF(A11:A21, "1.1.2.*", H11:H21)</f>
        <v>1550398.0799999998</v>
      </c>
      <c r="I10" s="11">
        <f>SUMIF(A11:A21, "1.1.2.*", I11:I21)</f>
        <v>1522047.3699999999</v>
      </c>
      <c r="J10" s="12">
        <f t="shared" si="0"/>
        <v>0.98171391569318767</v>
      </c>
      <c r="K10" s="10">
        <f>SUMIF(A11:A21, "1.1.2.*", K11:K21)</f>
        <v>10573561.77</v>
      </c>
      <c r="L10" s="13">
        <f>SUMIF(A11:A21, "1.1.2.*", L11:L21)</f>
        <v>0</v>
      </c>
    </row>
    <row r="11" spans="1:12" ht="122.4" x14ac:dyDescent="0.3">
      <c r="A11" s="14" t="s">
        <v>24</v>
      </c>
      <c r="B11" s="15" t="s">
        <v>25</v>
      </c>
      <c r="C11" s="16" t="s">
        <v>26</v>
      </c>
      <c r="D11" s="17">
        <v>2021</v>
      </c>
      <c r="E11" s="17">
        <v>2023</v>
      </c>
      <c r="F11" s="18">
        <v>340731</v>
      </c>
      <c r="G11" s="18">
        <v>0</v>
      </c>
      <c r="H11" s="18">
        <v>0</v>
      </c>
      <c r="I11" s="19">
        <v>0</v>
      </c>
      <c r="J11" s="20">
        <f t="shared" si="0"/>
        <v>0</v>
      </c>
      <c r="K11" s="18">
        <v>340731</v>
      </c>
      <c r="L11" s="21">
        <v>0</v>
      </c>
    </row>
    <row r="12" spans="1:12" ht="91.8" x14ac:dyDescent="0.3">
      <c r="A12" s="14" t="s">
        <v>27</v>
      </c>
      <c r="B12" s="15" t="s">
        <v>28</v>
      </c>
      <c r="C12" s="16" t="s">
        <v>26</v>
      </c>
      <c r="D12" s="17">
        <v>2019</v>
      </c>
      <c r="E12" s="17">
        <v>2021</v>
      </c>
      <c r="F12" s="18">
        <v>2590941.35</v>
      </c>
      <c r="G12" s="18">
        <v>1434471</v>
      </c>
      <c r="H12" s="18">
        <v>1409407.95</v>
      </c>
      <c r="I12" s="19">
        <v>1409407.95</v>
      </c>
      <c r="J12" s="20">
        <v>100</v>
      </c>
      <c r="K12" s="18">
        <v>2590941.35</v>
      </c>
      <c r="L12" s="21">
        <v>0</v>
      </c>
    </row>
    <row r="13" spans="1:12" ht="153" x14ac:dyDescent="0.3">
      <c r="A13" s="14" t="s">
        <v>29</v>
      </c>
      <c r="B13" s="15" t="s">
        <v>30</v>
      </c>
      <c r="C13" s="16" t="s">
        <v>26</v>
      </c>
      <c r="D13" s="17">
        <v>2020</v>
      </c>
      <c r="E13" s="17">
        <v>2023</v>
      </c>
      <c r="F13" s="18">
        <v>7579250</v>
      </c>
      <c r="G13" s="18">
        <v>0</v>
      </c>
      <c r="H13" s="18">
        <v>78350.710000000006</v>
      </c>
      <c r="I13" s="19">
        <v>50000</v>
      </c>
      <c r="J13" s="20">
        <v>63.8</v>
      </c>
      <c r="K13" s="18">
        <v>7579250</v>
      </c>
      <c r="L13" s="21">
        <v>0</v>
      </c>
    </row>
    <row r="14" spans="1:12" ht="71.400000000000006" x14ac:dyDescent="0.3">
      <c r="A14" s="14" t="s">
        <v>31</v>
      </c>
      <c r="B14" s="15" t="s">
        <v>32</v>
      </c>
      <c r="C14" s="16" t="s">
        <v>26</v>
      </c>
      <c r="D14" s="17">
        <v>2016</v>
      </c>
      <c r="E14" s="17">
        <v>2020</v>
      </c>
      <c r="F14" s="18">
        <v>264949.5</v>
      </c>
      <c r="G14" s="18">
        <v>62639.42</v>
      </c>
      <c r="H14" s="18">
        <v>62639.42</v>
      </c>
      <c r="I14" s="19">
        <v>62639.42</v>
      </c>
      <c r="J14" s="20">
        <v>100</v>
      </c>
      <c r="K14" s="18">
        <v>62639.42</v>
      </c>
      <c r="L14" s="21">
        <v>0</v>
      </c>
    </row>
    <row r="15" spans="1:12" ht="91.8" x14ac:dyDescent="0.3">
      <c r="A15" s="7" t="s">
        <v>33</v>
      </c>
      <c r="B15" s="8" t="s">
        <v>34</v>
      </c>
      <c r="C15" s="8"/>
      <c r="D15" s="9"/>
      <c r="E15" s="9"/>
      <c r="F15" s="22">
        <f>IF(ISNUMBER(VLOOKUP("1.2.1",A5:L21,6,FALSE)),ROUND(VLOOKUP("1.2.1",A5:L21,6,FALSE),4),0) + IF(ISNUMBER(VLOOKUP("1.2.2",A5:L21,6,FALSE)),ROUND(VLOOKUP("1.2.2",A5:L21,6,FALSE),4),0)</f>
        <v>0</v>
      </c>
      <c r="G15" s="22">
        <f>IF(ISNUMBER(VLOOKUP("1.2.1",A5:L21,7,FALSE)),ROUND(VLOOKUP("1.2.1",A5:L21,7,FALSE),4),0) + IF(ISNUMBER(VLOOKUP("1.2.2",A5:L21,7,FALSE)),ROUND(VLOOKUP("1.2.2",A5:L21,7,FALSE),4),0)</f>
        <v>0</v>
      </c>
      <c r="H15" s="22">
        <f>IF(ISNUMBER(VLOOKUP("1.2.1",A5:L21,8,FALSE)),ROUND(VLOOKUP("1.2.1",A5:L21,8,FALSE),4),0) + IF(ISNUMBER(VLOOKUP("1.2.2",A5:L21,8,FALSE)),ROUND(VLOOKUP("1.2.2",A5:L21,8,FALSE),4),0)</f>
        <v>0</v>
      </c>
      <c r="I15" s="13">
        <f>IF(ISNUMBER(VLOOKUP("1.2.1",A5:L21,9,FALSE)),ROUND(VLOOKUP("1.2.1",A5:L21,9,FALSE),4),0) + IF(ISNUMBER(VLOOKUP("1.2.2",A5:L21,9,FALSE)),ROUND(VLOOKUP("1.2.2",A5:L21,9,FALSE),4),0)</f>
        <v>0</v>
      </c>
      <c r="J15" s="12">
        <f t="shared" si="0"/>
        <v>0</v>
      </c>
      <c r="K15" s="22">
        <f>IF(ISNUMBER(VLOOKUP("1.2.1",A5:L21,11,FALSE)),ROUND(VLOOKUP("1.2.1",A5:L21,11,FALSE),4),0) + IF(ISNUMBER(VLOOKUP("1.2.2",A5:L21,11,FALSE)),ROUND(VLOOKUP("1.2.2",A5:L21,11,FALSE),4),0)</f>
        <v>0</v>
      </c>
      <c r="L15" s="13">
        <v>0</v>
      </c>
    </row>
    <row r="16" spans="1:12" ht="20.399999999999999" x14ac:dyDescent="0.3">
      <c r="A16" s="7" t="s">
        <v>35</v>
      </c>
      <c r="B16" s="8" t="s">
        <v>17</v>
      </c>
      <c r="C16" s="8"/>
      <c r="D16" s="9"/>
      <c r="E16" s="9"/>
      <c r="F16" s="22">
        <f>SUMIF(A17:A21, "1.2.1.*", F17:F21)</f>
        <v>0</v>
      </c>
      <c r="G16" s="22">
        <f>SUMIF(A17:A21, "1.2.1.*", G17:G21)</f>
        <v>0</v>
      </c>
      <c r="H16" s="22">
        <f>SUMIF(A17:A21, "1.2.1.*", H17:H21)</f>
        <v>0</v>
      </c>
      <c r="I16" s="13">
        <f>SUMIF(A17:A21, "1.2.1.*", I17:I21)</f>
        <v>0</v>
      </c>
      <c r="J16" s="12">
        <f t="shared" si="0"/>
        <v>0</v>
      </c>
      <c r="K16" s="22">
        <f>SUMIF(A17:A21, "1.2.1.*", K17:K21)</f>
        <v>0</v>
      </c>
      <c r="L16" s="13">
        <f>SUMIF(A17:A21, "1.2.1.*", L17:L21)</f>
        <v>0</v>
      </c>
    </row>
    <row r="17" spans="1:12" ht="20.399999999999999" x14ac:dyDescent="0.3">
      <c r="A17" s="7" t="s">
        <v>36</v>
      </c>
      <c r="B17" s="8" t="s">
        <v>19</v>
      </c>
      <c r="C17" s="8"/>
      <c r="D17" s="9"/>
      <c r="E17" s="9"/>
      <c r="F17" s="22">
        <f>SUMIF(A18:A21, "1.2.2.*", F18:F21)</f>
        <v>0</v>
      </c>
      <c r="G17" s="22">
        <f>SUMIF(A18:A21, "1.2.2.*", G18:G21)</f>
        <v>0</v>
      </c>
      <c r="H17" s="22">
        <f>SUMIF(A18:A21, "1.2.2.*", H18:H21)</f>
        <v>0</v>
      </c>
      <c r="I17" s="13">
        <f>SUMIF(A18:A21, "1.2.2.*", I18:I21)</f>
        <v>0</v>
      </c>
      <c r="J17" s="12">
        <f t="shared" si="0"/>
        <v>0</v>
      </c>
      <c r="K17" s="22">
        <f>SUMIF(A18:A21, "1.2.2.*", K18:K21)</f>
        <v>0</v>
      </c>
      <c r="L17" s="13">
        <f>SUMIF(A18:A21, "1.2.2.*", L18:L21)</f>
        <v>0</v>
      </c>
    </row>
    <row r="18" spans="1:12" ht="91.8" x14ac:dyDescent="0.3">
      <c r="A18" s="7" t="s">
        <v>37</v>
      </c>
      <c r="B18" s="8" t="s">
        <v>38</v>
      </c>
      <c r="C18" s="8"/>
      <c r="D18" s="9"/>
      <c r="E18" s="9"/>
      <c r="F18" s="22">
        <f>IF(ISNUMBER(VLOOKUP("1.3.1",A5:L21,6,FALSE)),ROUND(VLOOKUP("1.3.1",A5:L21,6,FALSE),4),0) + IF(ISNUMBER(VLOOKUP("1.3.2",A5:L21,6,FALSE)),ROUND(VLOOKUP("1.3.2",A5:L21,6,FALSE),4),0)</f>
        <v>0</v>
      </c>
      <c r="G18" s="22">
        <f>IF(ISNUMBER(VLOOKUP("1.3.1",A5:L21,7,FALSE)),ROUND(VLOOKUP("1.3.1",A5:L21,7,FALSE),4),0) + IF(ISNUMBER(VLOOKUP("1.3.2",A5:L21,7,FALSE)),ROUND(VLOOKUP("1.3.2",A5:L21,7,FALSE),4),0)</f>
        <v>0</v>
      </c>
      <c r="H18" s="22">
        <f>IF(ISNUMBER(VLOOKUP("1.3.1",A5:L21,8,FALSE)),ROUND(VLOOKUP("1.3.1",A5:L21,8,FALSE),4),0) + IF(ISNUMBER(VLOOKUP("1.3.2",A5:L21,8,FALSE)),ROUND(VLOOKUP("1.3.2",A5:L21,8,FALSE),4),0)</f>
        <v>0</v>
      </c>
      <c r="I18" s="13">
        <f>IF(ISNUMBER(VLOOKUP("1.3.1",A5:L21,9,FALSE)),ROUND(VLOOKUP("1.3.1",A5:L21,9,FALSE),4),0) + IF(ISNUMBER(VLOOKUP("1.3.2",A5:L21,9,FALSE)),ROUND(VLOOKUP("1.3.2",A5:L21,9,FALSE),4),0)</f>
        <v>0</v>
      </c>
      <c r="J18" s="12">
        <f t="shared" si="0"/>
        <v>0</v>
      </c>
      <c r="K18" s="22">
        <f>IF(ISNUMBER(VLOOKUP("1.3.1",A5:L21,11,FALSE)),ROUND(VLOOKUP("1.3.1",A5:L21,11,FALSE),4),0) + IF(ISNUMBER(VLOOKUP("1.3.2",A5:L21,11,FALSE)),ROUND(VLOOKUP("1.3.2",A5:L21,11,FALSE),4),0)</f>
        <v>0</v>
      </c>
      <c r="L18" s="13">
        <f>IF(ISNUMBER(VLOOKUP("1.3.1",A5:L21,12,FALSE)),ROUND(VLOOKUP("1.3.1",A5:L21,12,FALSE),4),0) + IF(ISNUMBER(VLOOKUP("1.3.2",A5:L21,12,FALSE)),ROUND(VLOOKUP("1.3.2",A5:L21,12,FALSE),4),0)</f>
        <v>0</v>
      </c>
    </row>
    <row r="19" spans="1:12" ht="20.399999999999999" x14ac:dyDescent="0.3">
      <c r="A19" s="7" t="s">
        <v>39</v>
      </c>
      <c r="B19" s="8" t="s">
        <v>17</v>
      </c>
      <c r="C19" s="8"/>
      <c r="D19" s="9"/>
      <c r="E19" s="9"/>
      <c r="F19" s="22">
        <f>SUMIF(A20:A21, "1.3.1.*", F20:F21)</f>
        <v>0</v>
      </c>
      <c r="G19" s="22">
        <f>SUMIF(A20:A21, "1.3.1.*", G20:G21)</f>
        <v>0</v>
      </c>
      <c r="H19" s="22">
        <f>SUMIF(A20:A21, "1.3.1.*", H20:H21)</f>
        <v>0</v>
      </c>
      <c r="I19" s="13">
        <f>SUMIF(A20:A21, "1.3.1.*", I20:I21)</f>
        <v>0</v>
      </c>
      <c r="J19" s="12">
        <f t="shared" si="0"/>
        <v>0</v>
      </c>
      <c r="K19" s="22">
        <f>SUMIF(A20:A21, "1.3.1.*", K20:K21)</f>
        <v>0</v>
      </c>
      <c r="L19" s="13">
        <f>SUMIF(A20:A21, "1.3.1.*", L20:L21)</f>
        <v>0</v>
      </c>
    </row>
    <row r="20" spans="1:12" ht="20.399999999999999" x14ac:dyDescent="0.3">
      <c r="A20" s="7" t="s">
        <v>40</v>
      </c>
      <c r="B20" s="8" t="s">
        <v>19</v>
      </c>
      <c r="C20" s="8"/>
      <c r="D20" s="9"/>
      <c r="E20" s="9"/>
      <c r="F20" s="22">
        <f>SUMIF(A21:A21, "1.3.2.*", F21:F21)</f>
        <v>0</v>
      </c>
      <c r="G20" s="22">
        <f>SUMIF(A21:A21, "1.3.2.*", G21:G21)</f>
        <v>0</v>
      </c>
      <c r="H20" s="22">
        <f>SUMIF(A21:A21, "1.3.2.*", H21:H21)</f>
        <v>0</v>
      </c>
      <c r="I20" s="13">
        <f>SUMIF(A21:A21, "1.3.2.*", I21:I21)</f>
        <v>0</v>
      </c>
      <c r="J20" s="12">
        <f t="shared" si="0"/>
        <v>0</v>
      </c>
      <c r="K20" s="22">
        <f>SUMIF(A21:A21, "1.3.2.*", K21:K21)</f>
        <v>0</v>
      </c>
      <c r="L20" s="13">
        <f>SUMIF(A21:A21, "1.3.2.*", L21:L21)</f>
        <v>0</v>
      </c>
    </row>
  </sheetData>
  <mergeCells count="2">
    <mergeCell ref="B2:J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2021-05-14T12:19:58Z</dcterms:modified>
</cp:coreProperties>
</file>