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Dane\CzeslawaT\4. 2021\Sprawozdanie z wykonania budzetu 2021\"/>
    </mc:Choice>
  </mc:AlternateContent>
  <xr:revisionPtr revIDLastSave="0" documentId="13_ncr:1_{B1DCF186-5B23-458D-B214-5F7D10BD31C9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Załącznik Nr 15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24" i="2" l="1"/>
  <c r="L22" i="2" s="1"/>
  <c r="K24" i="2"/>
  <c r="I24" i="2"/>
  <c r="I22" i="2" s="1"/>
  <c r="H24" i="2"/>
  <c r="J24" i="2" s="1"/>
  <c r="G24" i="2"/>
  <c r="F24" i="2"/>
  <c r="L23" i="2"/>
  <c r="K23" i="2"/>
  <c r="I23" i="2"/>
  <c r="H23" i="2"/>
  <c r="J23" i="2" s="1"/>
  <c r="G23" i="2"/>
  <c r="F23" i="2"/>
  <c r="K22" i="2"/>
  <c r="L21" i="2"/>
  <c r="K21" i="2"/>
  <c r="I21" i="2"/>
  <c r="H21" i="2"/>
  <c r="J21" i="2" s="1"/>
  <c r="G21" i="2"/>
  <c r="F21" i="2"/>
  <c r="L20" i="2"/>
  <c r="K20" i="2"/>
  <c r="I20" i="2"/>
  <c r="H20" i="2"/>
  <c r="G20" i="2"/>
  <c r="F20" i="2"/>
  <c r="F19" i="2" s="1"/>
  <c r="J18" i="2"/>
  <c r="J17" i="2"/>
  <c r="J16" i="2"/>
  <c r="J15" i="2"/>
  <c r="J14" i="2"/>
  <c r="L13" i="2"/>
  <c r="K13" i="2"/>
  <c r="I13" i="2"/>
  <c r="H13" i="2"/>
  <c r="G13" i="2"/>
  <c r="F13" i="2"/>
  <c r="J12" i="2"/>
  <c r="L11" i="2"/>
  <c r="K11" i="2"/>
  <c r="I11" i="2"/>
  <c r="H11" i="2"/>
  <c r="G11" i="2"/>
  <c r="F11" i="2"/>
  <c r="G22" i="2" l="1"/>
  <c r="H19" i="2"/>
  <c r="J19" i="2" s="1"/>
  <c r="J13" i="2"/>
  <c r="I10" i="2"/>
  <c r="I8" i="2"/>
  <c r="K9" i="2"/>
  <c r="L19" i="2"/>
  <c r="F8" i="2"/>
  <c r="K19" i="2"/>
  <c r="G10" i="2"/>
  <c r="G19" i="2"/>
  <c r="L9" i="2"/>
  <c r="J20" i="2"/>
  <c r="H8" i="2"/>
  <c r="J8" i="2" s="1"/>
  <c r="L8" i="2"/>
  <c r="K8" i="2"/>
  <c r="I19" i="2"/>
  <c r="I7" i="2" s="1"/>
  <c r="F22" i="2"/>
  <c r="F10" i="2"/>
  <c r="G9" i="2"/>
  <c r="I9" i="2"/>
  <c r="H10" i="2"/>
  <c r="H22" i="2"/>
  <c r="J22" i="2" s="1"/>
  <c r="F9" i="2"/>
  <c r="K10" i="2"/>
  <c r="L10" i="2"/>
  <c r="H9" i="2"/>
  <c r="G8" i="2"/>
  <c r="J11" i="2"/>
  <c r="F7" i="2" l="1"/>
  <c r="J9" i="2"/>
  <c r="J10" i="2"/>
  <c r="L7" i="2"/>
  <c r="K7" i="2"/>
  <c r="G7" i="2"/>
  <c r="H7" i="2"/>
  <c r="J7" i="2" s="1"/>
</calcChain>
</file>

<file path=xl/sharedStrings.xml><?xml version="1.0" encoding="utf-8"?>
<sst xmlns="http://schemas.openxmlformats.org/spreadsheetml/2006/main" count="60" uniqueCount="47">
  <si>
    <t>Lp.</t>
  </si>
  <si>
    <t>1</t>
  </si>
  <si>
    <t>1.1</t>
  </si>
  <si>
    <t>1.1.1</t>
  </si>
  <si>
    <t>1.1.2</t>
  </si>
  <si>
    <t>1.2</t>
  </si>
  <si>
    <t>1.2.1</t>
  </si>
  <si>
    <t>1.2.2</t>
  </si>
  <si>
    <t/>
  </si>
  <si>
    <t>Nazwa i cel</t>
  </si>
  <si>
    <t>Jednostka</t>
  </si>
  <si>
    <t>Od</t>
  </si>
  <si>
    <t>Do</t>
  </si>
  <si>
    <t>Nakłady</t>
  </si>
  <si>
    <t>Wykonanie</t>
  </si>
  <si>
    <t>Limit zobowiązań</t>
  </si>
  <si>
    <t>Uwagi</t>
  </si>
  <si>
    <t>Przedsięwzięcia razem</t>
  </si>
  <si>
    <t>1.a</t>
  </si>
  <si>
    <t>- wydatki bieżące</t>
  </si>
  <si>
    <t>1.b</t>
  </si>
  <si>
    <t>- wydatki majątkowe</t>
  </si>
  <si>
    <t>Wydatki na programy, projekty lub zadania związane z programami realizowanymi z udziałem środków, o których mowa w art.5 ust.1 pkt 2 i 3 ustawy z dnia 27 sierpnia 2009.r. o finansach publicznych (Dz.U.Nr 157, poz.1240,z późn.zm.):</t>
  </si>
  <si>
    <t>1.1.1.1</t>
  </si>
  <si>
    <t>Cyfrowa Gmina - zakup materiałów i usług - Rozwój cyfrowy JST oraz wzmocnienie odporności na zagrożenia REACT-EU</t>
  </si>
  <si>
    <t>Urząd Miejski</t>
  </si>
  <si>
    <t>1.1.2.1</t>
  </si>
  <si>
    <t>"Budowa sieci tras rowerowych Pomorza Zachodniego - Trasa Pojezierzy Zachodnich etap VI - Poprawa infrastruktury turystycznej</t>
  </si>
  <si>
    <t>1.1.2.2</t>
  </si>
  <si>
    <t>Termomodernizacja budynku Szkoły Podstawowej w Góralicach - Poprawa jakości życia mieszkańców</t>
  </si>
  <si>
    <t>1.1.2.3</t>
  </si>
  <si>
    <t>Rozbudowa i przebudowa oczyszczalni ścieków komunalnych w Trzcińsku-Zdroju - Zachowanie i ochrona środowiska naturalnego i wspieranie efektywnego gospodarowania zasobami</t>
  </si>
  <si>
    <t>1.1.2.4</t>
  </si>
  <si>
    <t>Cyfrowa gmina - Rozwój cyfrowy JST oraz wzmocnienie odporności na zagrożenia REACT-EU</t>
  </si>
  <si>
    <t>1.1.2.5</t>
  </si>
  <si>
    <t>"Trzcińskie Centrum Rekreacji i Turystyki Wodnej" - Zrównoważony rozwój oparty o zasoby regionu</t>
  </si>
  <si>
    <t>Wydatki na programy, projekty lub zadania związane z umowami partnerstwa publiczno-prywatnego:</t>
  </si>
  <si>
    <t>1.3</t>
  </si>
  <si>
    <t>Wydatki na programy, projekty lub zadania pozostałe (inne niż wymienione w pkt 1.1 i 1.2):</t>
  </si>
  <si>
    <t>1.3.1</t>
  </si>
  <si>
    <t>1.3.2</t>
  </si>
  <si>
    <t xml:space="preserve">Sprawozadanie z wykonania budżetu Gminy Trzcińsko-Zdrój za 2021 rok </t>
  </si>
  <si>
    <t>Załącznik Nr 15</t>
  </si>
  <si>
    <t>Informacja o realizacji przedsięwzięć w 2021 roku ujętych w Wieloletniej Prognozie finansowej Gminy Trzcińsko-Zdrój</t>
  </si>
  <si>
    <t>Plan po zmianach na 31.12.2021</t>
  </si>
  <si>
    <t xml:space="preserve">Stopień realizacji w 2021 </t>
  </si>
  <si>
    <t>Plan na 1.01.2021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</si>
</sst>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name val="Calibri"/>
    </font>
    <font>
      <sz val="8"/>
      <name val="Times New Roman"/>
    </font>
    <font>
      <b/>
      <sz val="8"/>
      <name val="Times New Roman"/>
    </font>
    <font>
      <i/>
      <u/>
      <sz val="11"/>
      <name val="Book Antiqua"/>
      <family val="1"/>
      <charset val="238"/>
    </font>
    <font>
      <b/>
      <sz val="8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Calibri"/>
      <family val="2"/>
      <charset val="238"/>
    </font>
    <font>
      <b/>
      <sz val="14"/>
      <name val="Calibri"/>
      <family val="2"/>
      <charset val="238"/>
    </font>
    <font>
      <sz val="10"/>
      <name val="Arial Narrow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EAEAEA"/>
      </patternFill>
    </fill>
    <fill>
      <patternFill patternType="solid">
        <fgColor rgb="FFADD8E6"/>
      </patternFill>
    </fill>
    <fill>
      <patternFill patternType="solid">
        <fgColor rgb="FFFFFFFF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4">
    <xf numFmtId="0" fontId="0" fillId="0" borderId="0" xfId="0"/>
    <xf numFmtId="4" fontId="2" fillId="2" borderId="1" xfId="0" applyNumberFormat="1" applyFont="1" applyFill="1" applyBorder="1" applyAlignment="1">
      <alignment vertical="center"/>
    </xf>
    <xf numFmtId="4" fontId="2" fillId="2" borderId="1" xfId="0" applyNumberFormat="1" applyFont="1" applyFill="1" applyBorder="1" applyAlignment="1">
      <alignment vertical="center" wrapText="1"/>
    </xf>
    <xf numFmtId="4" fontId="2" fillId="2" borderId="1" xfId="0" applyNumberFormat="1" applyFont="1" applyFill="1" applyBorder="1" applyAlignment="1">
      <alignment horizontal="right" vertical="center"/>
    </xf>
    <xf numFmtId="10" fontId="2" fillId="3" borderId="1" xfId="0" applyNumberFormat="1" applyFont="1" applyFill="1" applyBorder="1" applyAlignment="1">
      <alignment horizontal="right" vertical="center"/>
    </xf>
    <xf numFmtId="4" fontId="1" fillId="2" borderId="1" xfId="0" applyNumberFormat="1" applyFont="1" applyFill="1" applyBorder="1" applyAlignment="1">
      <alignment vertical="center"/>
    </xf>
    <xf numFmtId="4" fontId="1" fillId="2" borderId="1" xfId="0" applyNumberFormat="1" applyFont="1" applyFill="1" applyBorder="1" applyAlignment="1">
      <alignment vertical="center" wrapText="1"/>
    </xf>
    <xf numFmtId="4" fontId="1" fillId="4" borderId="1" xfId="0" applyNumberFormat="1" applyFont="1" applyFill="1" applyBorder="1" applyAlignment="1">
      <alignment horizontal="right" vertical="center"/>
    </xf>
    <xf numFmtId="10" fontId="1" fillId="3" borderId="1" xfId="0" applyNumberFormat="1" applyFont="1" applyFill="1" applyBorder="1" applyAlignment="1">
      <alignment horizontal="right" vertical="center"/>
    </xf>
    <xf numFmtId="1" fontId="2" fillId="2" borderId="1" xfId="0" applyNumberFormat="1" applyFont="1" applyFill="1" applyBorder="1" applyAlignment="1">
      <alignment horizontal="right" vertical="center"/>
    </xf>
    <xf numFmtId="4" fontId="2" fillId="2" borderId="1" xfId="0" applyNumberFormat="1" applyFont="1" applyFill="1" applyBorder="1" applyAlignment="1">
      <alignment horizontal="right" vertical="center" wrapText="1"/>
    </xf>
    <xf numFmtId="4" fontId="1" fillId="4" borderId="1" xfId="0" applyNumberFormat="1" applyFont="1" applyFill="1" applyBorder="1" applyAlignment="1">
      <alignment vertical="center" wrapText="1"/>
    </xf>
    <xf numFmtId="1" fontId="1" fillId="4" borderId="1" xfId="0" applyNumberFormat="1" applyFont="1" applyFill="1" applyBorder="1" applyAlignment="1">
      <alignment horizontal="right" vertical="center"/>
    </xf>
    <xf numFmtId="4" fontId="1" fillId="4" borderId="1" xfId="0" applyNumberFormat="1" applyFont="1" applyFill="1" applyBorder="1" applyAlignment="1">
      <alignment horizontal="right" vertical="center" wrapText="1"/>
    </xf>
    <xf numFmtId="0" fontId="3" fillId="0" borderId="0" xfId="0" applyFont="1" applyAlignment="1">
      <alignment horizontal="center"/>
    </xf>
    <xf numFmtId="0" fontId="2" fillId="6" borderId="1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wrapText="1"/>
    </xf>
    <xf numFmtId="4" fontId="2" fillId="2" borderId="1" xfId="0" applyNumberFormat="1" applyFont="1" applyFill="1" applyBorder="1" applyAlignment="1">
      <alignment horizontal="center" vertical="center"/>
    </xf>
    <xf numFmtId="4" fontId="2" fillId="2" borderId="1" xfId="0" applyNumberFormat="1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</cellXfs>
  <cellStyles count="1">
    <cellStyle name="Normalny" xfId="0" builtinId="0"/>
  </cellStyles>
  <dxfs count="12">
    <dxf>
      <fill>
        <patternFill patternType="solid">
          <bgColor rgb="FFCD5C5C"/>
        </patternFill>
      </fill>
    </dxf>
    <dxf>
      <fill>
        <patternFill patternType="solid">
          <bgColor rgb="FFADFF2F"/>
        </patternFill>
      </fill>
    </dxf>
    <dxf>
      <fill>
        <patternFill patternType="solid">
          <bgColor rgb="FFCD5C5C"/>
        </patternFill>
      </fill>
    </dxf>
    <dxf>
      <fill>
        <patternFill patternType="solid">
          <bgColor rgb="FFADFF2F"/>
        </patternFill>
      </fill>
    </dxf>
    <dxf>
      <fill>
        <patternFill patternType="solid">
          <bgColor rgb="FFCD5C5C"/>
        </patternFill>
      </fill>
    </dxf>
    <dxf>
      <fill>
        <patternFill patternType="solid">
          <bgColor rgb="FFADFF2F"/>
        </patternFill>
      </fill>
    </dxf>
    <dxf>
      <fill>
        <patternFill patternType="solid">
          <bgColor rgb="FFCD5C5C"/>
        </patternFill>
      </fill>
    </dxf>
    <dxf>
      <fill>
        <patternFill patternType="solid">
          <bgColor rgb="FFADFF2F"/>
        </patternFill>
      </fill>
    </dxf>
    <dxf>
      <fill>
        <patternFill patternType="solid">
          <bgColor rgb="FFCD5C5C"/>
        </patternFill>
      </fill>
    </dxf>
    <dxf>
      <fill>
        <patternFill patternType="solid">
          <bgColor rgb="FFADFF2F"/>
        </patternFill>
      </fill>
    </dxf>
    <dxf>
      <fill>
        <patternFill patternType="solid">
          <bgColor rgb="FFCD5C5C"/>
        </patternFill>
      </fill>
    </dxf>
    <dxf>
      <fill>
        <patternFill patternType="solid">
          <bgColor rgb="FFADFF2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4"/>
  <sheetViews>
    <sheetView tabSelected="1" workbookViewId="0">
      <pane xSplit="1" ySplit="5" topLeftCell="B15" activePane="bottomRight" state="frozen"/>
      <selection pane="topRight" activeCell="B1" sqref="B1"/>
      <selection pane="bottomLeft" activeCell="A2" sqref="A2"/>
      <selection pane="bottomRight" activeCell="K2" sqref="K2:L2"/>
    </sheetView>
  </sheetViews>
  <sheetFormatPr defaultRowHeight="14.4" x14ac:dyDescent="0.3"/>
  <cols>
    <col min="1" max="1" width="4.33203125" customWidth="1"/>
    <col min="2" max="2" width="41.109375" customWidth="1"/>
    <col min="3" max="3" width="9.33203125" customWidth="1"/>
    <col min="4" max="4" width="4.88671875" customWidth="1"/>
    <col min="5" max="5" width="4.44140625" customWidth="1"/>
    <col min="6" max="6" width="10.109375" customWidth="1"/>
    <col min="7" max="7" width="9.33203125" customWidth="1"/>
    <col min="8" max="8" width="11.21875" customWidth="1"/>
    <col min="9" max="9" width="11.109375" customWidth="1"/>
    <col min="10" max="10" width="8.44140625" customWidth="1"/>
    <col min="11" max="11" width="10.109375" customWidth="1"/>
    <col min="12" max="12" width="7.33203125" customWidth="1"/>
  </cols>
  <sheetData>
    <row r="1" spans="1:12" x14ac:dyDescent="0.3">
      <c r="A1" s="21" t="s">
        <v>41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</row>
    <row r="2" spans="1:12" x14ac:dyDescent="0.3">
      <c r="A2" s="14"/>
      <c r="B2" s="14"/>
      <c r="C2" s="14"/>
      <c r="D2" s="14"/>
      <c r="E2" s="14"/>
      <c r="F2" s="14"/>
      <c r="G2" s="14"/>
      <c r="H2" s="14"/>
      <c r="I2" s="14"/>
      <c r="J2" s="14"/>
      <c r="K2" s="23" t="s">
        <v>42</v>
      </c>
      <c r="L2" s="23"/>
    </row>
    <row r="3" spans="1:12" ht="42.6" customHeight="1" x14ac:dyDescent="0.3">
      <c r="A3" s="22" t="s">
        <v>43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</row>
    <row r="5" spans="1:12" s="20" customFormat="1" ht="67.2" customHeight="1" x14ac:dyDescent="0.3">
      <c r="A5" s="19" t="s">
        <v>0</v>
      </c>
      <c r="B5" s="19" t="s">
        <v>9</v>
      </c>
      <c r="C5" s="19" t="s">
        <v>10</v>
      </c>
      <c r="D5" s="19" t="s">
        <v>11</v>
      </c>
      <c r="E5" s="19" t="s">
        <v>12</v>
      </c>
      <c r="F5" s="19" t="s">
        <v>13</v>
      </c>
      <c r="G5" s="19" t="s">
        <v>46</v>
      </c>
      <c r="H5" s="19" t="s">
        <v>44</v>
      </c>
      <c r="I5" s="19" t="s">
        <v>14</v>
      </c>
      <c r="J5" s="19" t="s">
        <v>45</v>
      </c>
      <c r="K5" s="19" t="s">
        <v>15</v>
      </c>
      <c r="L5" s="19" t="s">
        <v>16</v>
      </c>
    </row>
    <row r="6" spans="1:12" x14ac:dyDescent="0.3">
      <c r="A6" s="16">
        <v>1</v>
      </c>
      <c r="B6" s="16">
        <v>2</v>
      </c>
      <c r="C6" s="15">
        <v>3</v>
      </c>
      <c r="D6" s="15">
        <v>4</v>
      </c>
      <c r="E6" s="15">
        <v>5</v>
      </c>
      <c r="F6" s="15">
        <v>6</v>
      </c>
      <c r="G6" s="15">
        <v>7</v>
      </c>
      <c r="H6" s="15">
        <v>8</v>
      </c>
      <c r="I6" s="15">
        <v>9</v>
      </c>
      <c r="J6" s="15">
        <v>10</v>
      </c>
      <c r="K6" s="15">
        <v>11</v>
      </c>
      <c r="L6" s="15">
        <v>12</v>
      </c>
    </row>
    <row r="7" spans="1:12" ht="14.25" customHeight="1" x14ac:dyDescent="0.3">
      <c r="A7" s="17" t="s">
        <v>1</v>
      </c>
      <c r="B7" s="18" t="s">
        <v>17</v>
      </c>
      <c r="C7" s="2"/>
      <c r="D7" s="9"/>
      <c r="E7" s="9"/>
      <c r="F7" s="10">
        <f>IF(ISNUMBER(VLOOKUP("1.1",A7:L25,6,FALSE)),ROUND(VLOOKUP("1.1",A7:L25,6,FALSE),4),0) + IF(ISNUMBER(VLOOKUP("1.2",A7:L25,6,FALSE)),ROUND(VLOOKUP("1.2",A7:L25,6,FALSE),4),0) + IF(ISNUMBER(VLOOKUP("1.3",A7:L25,6,FALSE)),ROUND(VLOOKUP("1.3",A7:L25,6,FALSE),4),0)</f>
        <v>11115589.58</v>
      </c>
      <c r="G7" s="10">
        <f>IF(ISNUMBER(VLOOKUP("1.1",A7:L25,7,FALSE)),ROUND(VLOOKUP("1.1",A7:L25,7,FALSE),4),0) + IF(ISNUMBER(VLOOKUP("1.2",A7:L25,7,FALSE)),ROUND(VLOOKUP("1.2",A7:L25,7,FALSE),4),0) + IF(ISNUMBER(VLOOKUP("1.3",A7:L25,7,FALSE)),ROUND(VLOOKUP("1.3",A7:L25,7,FALSE),4),0)</f>
        <v>1595110.3999999999</v>
      </c>
      <c r="H7" s="10">
        <f>IF(ISNUMBER(VLOOKUP("1.1",A7:L25,8,FALSE)),ROUND(VLOOKUP("1.1",A7:L25,8,FALSE),4),0) + IF(ISNUMBER(VLOOKUP("1.2",A7:L25,8,FALSE)),ROUND(VLOOKUP("1.2",A7:L25,8,FALSE),4),0) + IF(ISNUMBER(VLOOKUP("1.3",A7:L25,8,FALSE)),ROUND(VLOOKUP("1.3",A7:L25,8,FALSE),4),0)</f>
        <v>1345385.78</v>
      </c>
      <c r="I7" s="3">
        <f>IF(ISNUMBER(VLOOKUP("1.1",A7:L25,9,FALSE)),ROUND(VLOOKUP("1.1",A7:L25,9,FALSE),4),0) + IF(ISNUMBER(VLOOKUP("1.2",A7:L25,9,FALSE)),ROUND(VLOOKUP("1.2",A7:L25,9,FALSE),4),0) + IF(ISNUMBER(VLOOKUP("1.3",A7:L25,9,FALSE)),ROUND(VLOOKUP("1.3",A7:L25,9,FALSE),4),0)</f>
        <v>1343526.64</v>
      </c>
      <c r="J7" s="4">
        <f t="shared" ref="J7:J24" si="0">IF($H7=0,0,$I7/$H7)</f>
        <v>0.99861813613044126</v>
      </c>
      <c r="K7" s="10">
        <f>IF(ISNUMBER(VLOOKUP("1.1",A7:L25,11,FALSE)),ROUND(VLOOKUP("1.1",A7:L25,11,FALSE),4),0) + IF(ISNUMBER(VLOOKUP("1.2",A7:L25,11,FALSE)),ROUND(VLOOKUP("1.2",A7:L25,11,FALSE),4),0) + IF(ISNUMBER(VLOOKUP("1.3",A7:L25,11,FALSE)),ROUND(VLOOKUP("1.3",A7:L25,11,FALSE),4),0)</f>
        <v>8092746</v>
      </c>
      <c r="L7" s="3">
        <f>IF(ISNUMBER(VLOOKUP("1.1",A7:L25,12,FALSE)),ROUND(VLOOKUP("1.1",A7:L25,12,FALSE),4),0) + IF(ISNUMBER(VLOOKUP("1.2",A7:L25,12,FALSE)),ROUND(VLOOKUP("1.2",A7:L25,12,FALSE),4),0) + IF(ISNUMBER(VLOOKUP("1.3",A7:L25,12,FALSE)),ROUND(VLOOKUP("1.3",A7:L25,12,FALSE),4),0)</f>
        <v>0</v>
      </c>
    </row>
    <row r="8" spans="1:12" ht="14.25" customHeight="1" x14ac:dyDescent="0.3">
      <c r="A8" s="1" t="s">
        <v>18</v>
      </c>
      <c r="B8" s="2" t="s">
        <v>19</v>
      </c>
      <c r="C8" s="2"/>
      <c r="D8" s="9"/>
      <c r="E8" s="9"/>
      <c r="F8" s="10">
        <f>IF(ISNUMBER(VLOOKUP("1.1.1",A7:L25,6,FALSE)),ROUND(VLOOKUP("1.1.1",A7:L25,6,FALSE),4),0) + IF(ISNUMBER(VLOOKUP("1.2.1",A7:L25,6,FALSE)),ROUND(VLOOKUP("1.2.1",A7:L25,6,FALSE),4),0) + IF(ISNUMBER(VLOOKUP("1.3.1",A7:L25,6,FALSE)),ROUND(VLOOKUP("1.3.1",A7:L25,6,FALSE),4),0)</f>
        <v>76300</v>
      </c>
      <c r="G8" s="10">
        <f>IF(ISNUMBER(VLOOKUP("1.1.1",A7:L25,7,FALSE)),ROUND(VLOOKUP("1.1.1",A7:L25,7,FALSE),4),0) + IF(ISNUMBER(VLOOKUP("1.2.1",A7:L25,7,FALSE)),ROUND(VLOOKUP("1.2.1",A7:L25,7,FALSE),4),0) + IF(ISNUMBER(VLOOKUP("1.3.1",A7:L25,7,FALSE)),ROUND(VLOOKUP("1.3.1",A7:L25,7,FALSE),4),0)</f>
        <v>0</v>
      </c>
      <c r="H8" s="10">
        <f>IF(ISNUMBER(VLOOKUP("1.1.1",A7:L25,8,FALSE)),ROUND(VLOOKUP("1.1.1",A7:L25,8,FALSE),4),0) + IF(ISNUMBER(VLOOKUP("1.2.1",A7:L25,8,FALSE)),ROUND(VLOOKUP("1.2.1",A7:L25,8,FALSE),4),0) + IF(ISNUMBER(VLOOKUP("1.3.1",A7:L25,8,FALSE)),ROUND(VLOOKUP("1.3.1",A7:L25,8,FALSE),4),0)</f>
        <v>0</v>
      </c>
      <c r="I8" s="3">
        <f>IF(ISNUMBER(VLOOKUP("1.1.1",A7:L25,9,FALSE)),ROUND(VLOOKUP("1.1.1",A7:L25,9,FALSE),4),0) + IF(ISNUMBER(VLOOKUP("1.2.1",A7:L25,9,FALSE)),ROUND(VLOOKUP("1.2.1",A7:L25,9,FALSE),4),0) + IF(ISNUMBER(VLOOKUP("1.3.1",A7:L25,9,FALSE)),ROUND(VLOOKUP("1.3.1",A7:L25,9,FALSE),4),0)</f>
        <v>0</v>
      </c>
      <c r="J8" s="4">
        <f t="shared" si="0"/>
        <v>0</v>
      </c>
      <c r="K8" s="10">
        <f>IF(ISNUMBER(VLOOKUP("1.1.1",A7:L25,11,FALSE)),ROUND(VLOOKUP("1.1.1",A7:L25,11,FALSE),4),0) + IF(ISNUMBER(VLOOKUP("1.2.1",A7:L25,11,FALSE)),ROUND(VLOOKUP("1.2.1",A7:L25,11,FALSE),4),0) + IF(ISNUMBER(VLOOKUP("1.3.1",A7:L25,11,FALSE)),ROUND(VLOOKUP("1.3.1",A7:L25,11,FALSE),4),0)</f>
        <v>0</v>
      </c>
      <c r="L8" s="3">
        <f>IF(ISNUMBER(VLOOKUP("1.1.1",A7:L25,12,FALSE)),ROUND(VLOOKUP("1.1.1",A7:L25,12,FALSE),4),0) + IF(ISNUMBER(VLOOKUP("1.2.1",A7:L25,12,FALSE)),ROUND(VLOOKUP("1.2.1",A7:L25,12,FALSE),4),0) + IF(ISNUMBER(VLOOKUP("1.3.1",A7:L25,12,FALSE)),ROUND(VLOOKUP("1.3.1",A7:L25,12,FALSE),4),0)</f>
        <v>0</v>
      </c>
    </row>
    <row r="9" spans="1:12" ht="14.25" customHeight="1" x14ac:dyDescent="0.3">
      <c r="A9" s="1" t="s">
        <v>20</v>
      </c>
      <c r="B9" s="2" t="s">
        <v>21</v>
      </c>
      <c r="C9" s="2"/>
      <c r="D9" s="9"/>
      <c r="E9" s="9"/>
      <c r="F9" s="10">
        <f>IF(ISNUMBER(VLOOKUP("1.1.2",A7:L25,6,FALSE)),ROUND(VLOOKUP("1.1.2",A7:L25,6,FALSE),4),0) + IF(ISNUMBER(VLOOKUP("1.2.2",A7:L25,6,FALSE)),ROUND(VLOOKUP("1.2.2",A7:L25,6,FALSE),4),0) + IF(ISNUMBER(VLOOKUP("1.3.2",A7:L25,6,FALSE)),ROUND(VLOOKUP("1.3.2",A7:L25,6,FALSE),4),0)</f>
        <v>11039289.58</v>
      </c>
      <c r="G9" s="10">
        <f>IF(ISNUMBER(VLOOKUP("1.1.2",A7:L25,7,FALSE)),ROUND(VLOOKUP("1.1.2",A7:L25,7,FALSE),4),0) + IF(ISNUMBER(VLOOKUP("1.2.2",A7:L25,7,FALSE)),ROUND(VLOOKUP("1.2.2",A7:L25,7,FALSE),4),0) + IF(ISNUMBER(VLOOKUP("1.3.2",A7:L25,7,FALSE)),ROUND(VLOOKUP("1.3.2",A7:L25,7,FALSE),4),0)</f>
        <v>1595110.3999999999</v>
      </c>
      <c r="H9" s="10">
        <f>IF(ISNUMBER(VLOOKUP("1.1.2",A7:L25,8,FALSE)),ROUND(VLOOKUP("1.1.2",A7:L25,8,FALSE),4),0) + IF(ISNUMBER(VLOOKUP("1.2.2",A7:L25,8,FALSE)),ROUND(VLOOKUP("1.2.2",A7:L25,8,FALSE),4),0) + IF(ISNUMBER(VLOOKUP("1.3.2",A7:L25,8,FALSE)),ROUND(VLOOKUP("1.3.2",A7:L25,8,FALSE),4),0)</f>
        <v>1345385.78</v>
      </c>
      <c r="I9" s="3">
        <f>IF(ISNUMBER(VLOOKUP("1.1.2",A7:L25,9,FALSE)),ROUND(VLOOKUP("1.1.2",A7:L25,9,FALSE),4),0) + IF(ISNUMBER(VLOOKUP("1.2.2",A7:L25,9,FALSE)),ROUND(VLOOKUP("1.2.2",A7:L25,9,FALSE),4),0) + IF(ISNUMBER(VLOOKUP("1.3.2",A7:L25,9,FALSE)),ROUND(VLOOKUP("1.3.2",A7:L25,9,FALSE),4),0)</f>
        <v>1343526.64</v>
      </c>
      <c r="J9" s="4">
        <f t="shared" si="0"/>
        <v>0.99861813613044126</v>
      </c>
      <c r="K9" s="10">
        <f>IF(ISNUMBER(VLOOKUP("1.1.2",A7:L25,11,FALSE)),ROUND(VLOOKUP("1.1.2",A7:L25,11,FALSE),4),0) + IF(ISNUMBER(VLOOKUP("1.2.2",A7:L25,11,FALSE)),ROUND(VLOOKUP("1.2.2",A7:L25,11,FALSE),4),0) + IF(ISNUMBER(VLOOKUP("1.3.2",A7:L25,11,FALSE)),ROUND(VLOOKUP("1.3.2",A7:L25,11,FALSE),4),0)</f>
        <v>8092746</v>
      </c>
      <c r="L9" s="3">
        <f>IF(ISNUMBER(VLOOKUP("1.1.2",A7:L25,12,FALSE)),ROUND(VLOOKUP("1.1.2",A7:L25,12,FALSE),4),0) + IF(ISNUMBER(VLOOKUP("1.2.2",A7:L25,12,FALSE)),ROUND(VLOOKUP("1.2.2",A7:L25,12,FALSE),4),0) + IF(ISNUMBER(VLOOKUP("1.3.2",A7:L25,12,FALSE)),ROUND(VLOOKUP("1.3.2",A7:L25,12,FALSE),4),0)</f>
        <v>0</v>
      </c>
    </row>
    <row r="10" spans="1:12" ht="50.4" customHeight="1" x14ac:dyDescent="0.3">
      <c r="A10" s="1" t="s">
        <v>2</v>
      </c>
      <c r="B10" s="2" t="s">
        <v>22</v>
      </c>
      <c r="C10" s="2"/>
      <c r="D10" s="9"/>
      <c r="E10" s="9"/>
      <c r="F10" s="10">
        <f>IF(ISNUMBER(VLOOKUP("1.1.1",A7:L25,6,FALSE)),ROUND(VLOOKUP("1.1.1",A7:L25,6,FALSE),4),0) + IF(ISNUMBER(VLOOKUP("1.1.2",A7:L25,6,FALSE)),ROUND(VLOOKUP("1.1.2",A7:L25,6,FALSE),4),0)</f>
        <v>11115589.58</v>
      </c>
      <c r="G10" s="10">
        <f>IF(ISNUMBER(VLOOKUP("1.1.1",A7:L25,7,FALSE)),ROUND(VLOOKUP("1.1.1",A7:L25,7,FALSE),4),0) + IF(ISNUMBER(VLOOKUP("1.1.2",A7:L25,7,FALSE)),ROUND(VLOOKUP("1.1.2",A7:L25,7,FALSE),4),0)</f>
        <v>1595110.3999999999</v>
      </c>
      <c r="H10" s="10">
        <f>IF(ISNUMBER(VLOOKUP("1.1.1",A7:L25,8,FALSE)),ROUND(VLOOKUP("1.1.1",A7:L25,8,FALSE),4),0) + IF(ISNUMBER(VLOOKUP("1.1.2",A7:L25,8,FALSE)),ROUND(VLOOKUP("1.1.2",A7:L25,8,FALSE),4),0)</f>
        <v>1345385.78</v>
      </c>
      <c r="I10" s="3">
        <f>IF(ISNUMBER(VLOOKUP("1.1.1",A7:L25,9,FALSE)),ROUND(VLOOKUP("1.1.1",A7:L25,9,FALSE),4),0) + IF(ISNUMBER(VLOOKUP("1.1.2",A7:L25,9,FALSE)),ROUND(VLOOKUP("1.1.2",A7:L25,9,FALSE),4),0)</f>
        <v>1343526.64</v>
      </c>
      <c r="J10" s="4">
        <f t="shared" si="0"/>
        <v>0.99861813613044126</v>
      </c>
      <c r="K10" s="10">
        <f>IF(ISNUMBER(VLOOKUP("1.1.1",A7:L25,11,FALSE)),ROUND(VLOOKUP("1.1.1",A7:L25,11,FALSE),4),0) + IF(ISNUMBER(VLOOKUP("1.1.2",A7:L25,11,FALSE)),ROUND(VLOOKUP("1.1.2",A7:L25,11,FALSE),4),0)</f>
        <v>8092746</v>
      </c>
      <c r="L10" s="3">
        <f>IF(ISNUMBER(VLOOKUP("1.1.1",A7:L25,12,FALSE)),ROUND(VLOOKUP("1.1.1",A7:L25,12,FALSE),4),0) + IF(ISNUMBER(VLOOKUP("1.1.2",A7:L25,12,FALSE)),ROUND(VLOOKUP("1.1.2",A7:L25,12,FALSE),4),0)</f>
        <v>0</v>
      </c>
    </row>
    <row r="11" spans="1:12" ht="14.25" customHeight="1" x14ac:dyDescent="0.3">
      <c r="A11" s="1" t="s">
        <v>3</v>
      </c>
      <c r="B11" s="2" t="s">
        <v>19</v>
      </c>
      <c r="C11" s="2"/>
      <c r="D11" s="9"/>
      <c r="E11" s="9"/>
      <c r="F11" s="10">
        <f>SUMIF(A12:A25, "1.1.1.*", F12:F25)</f>
        <v>76300</v>
      </c>
      <c r="G11" s="10">
        <f>SUMIF(A12:A25, "1.1.1.*", G12:G25)</f>
        <v>0</v>
      </c>
      <c r="H11" s="10">
        <f>SUMIF(A12:A25, "1.1.1.*", H12:H25)</f>
        <v>0</v>
      </c>
      <c r="I11" s="3">
        <f>SUMIF(A12:A25, "1.1.1.*", I12:I25)</f>
        <v>0</v>
      </c>
      <c r="J11" s="4">
        <f t="shared" si="0"/>
        <v>0</v>
      </c>
      <c r="K11" s="10">
        <f>SUMIF(A12:A25, "1.1.1.*", K12:K25)</f>
        <v>0</v>
      </c>
      <c r="L11" s="3">
        <f>SUMIF(A12:A25, "1.1.1.*", L12:L25)</f>
        <v>0</v>
      </c>
    </row>
    <row r="12" spans="1:12" ht="27" customHeight="1" x14ac:dyDescent="0.3">
      <c r="A12" s="5" t="s">
        <v>23</v>
      </c>
      <c r="B12" s="6" t="s">
        <v>24</v>
      </c>
      <c r="C12" s="11" t="s">
        <v>25</v>
      </c>
      <c r="D12" s="12">
        <v>2021</v>
      </c>
      <c r="E12" s="12">
        <v>2022</v>
      </c>
      <c r="F12" s="13">
        <v>76300</v>
      </c>
      <c r="G12" s="13">
        <v>0</v>
      </c>
      <c r="H12" s="13">
        <v>0</v>
      </c>
      <c r="I12" s="7">
        <v>0</v>
      </c>
      <c r="J12" s="8">
        <f t="shared" si="0"/>
        <v>0</v>
      </c>
      <c r="K12" s="13">
        <v>0</v>
      </c>
      <c r="L12" s="7"/>
    </row>
    <row r="13" spans="1:12" ht="14.25" customHeight="1" x14ac:dyDescent="0.3">
      <c r="A13" s="1" t="s">
        <v>4</v>
      </c>
      <c r="B13" s="2" t="s">
        <v>21</v>
      </c>
      <c r="C13" s="2"/>
      <c r="D13" s="9"/>
      <c r="E13" s="9"/>
      <c r="F13" s="10">
        <f>SUMIF(A14:A25, "1.1.2.*", F14:F25)</f>
        <v>11039289.58</v>
      </c>
      <c r="G13" s="10">
        <f>SUMIF(A14:A25, "1.1.2.*", G14:G25)</f>
        <v>1595110.3999999999</v>
      </c>
      <c r="H13" s="10">
        <f>SUMIF(A14:A25, "1.1.2.*", H14:H25)</f>
        <v>1345385.7799999998</v>
      </c>
      <c r="I13" s="3">
        <f>SUMIF(A14:A25, "1.1.2.*", I14:I25)</f>
        <v>1343526.64</v>
      </c>
      <c r="J13" s="4">
        <f t="shared" si="0"/>
        <v>0.99861813613044137</v>
      </c>
      <c r="K13" s="10">
        <f>SUMIF(A14:A25, "1.1.2.*", K14:K25)</f>
        <v>8092746</v>
      </c>
      <c r="L13" s="3">
        <f>SUMIF(A14:A25, "1.1.2.*", L14:L25)</f>
        <v>0</v>
      </c>
    </row>
    <row r="14" spans="1:12" ht="27.6" customHeight="1" x14ac:dyDescent="0.3">
      <c r="A14" s="5" t="s">
        <v>26</v>
      </c>
      <c r="B14" s="6" t="s">
        <v>27</v>
      </c>
      <c r="C14" s="11" t="s">
        <v>25</v>
      </c>
      <c r="D14" s="12">
        <v>2021</v>
      </c>
      <c r="E14" s="12">
        <v>2023</v>
      </c>
      <c r="F14" s="13">
        <v>340731</v>
      </c>
      <c r="G14" s="13">
        <v>113577</v>
      </c>
      <c r="H14" s="13">
        <v>113577</v>
      </c>
      <c r="I14" s="7">
        <v>113577</v>
      </c>
      <c r="J14" s="8">
        <f t="shared" si="0"/>
        <v>1</v>
      </c>
      <c r="K14" s="13">
        <v>340731</v>
      </c>
      <c r="L14" s="7" t="s">
        <v>8</v>
      </c>
    </row>
    <row r="15" spans="1:12" ht="22.8" customHeight="1" x14ac:dyDescent="0.3">
      <c r="A15" s="5" t="s">
        <v>28</v>
      </c>
      <c r="B15" s="6" t="s">
        <v>29</v>
      </c>
      <c r="C15" s="11" t="s">
        <v>25</v>
      </c>
      <c r="D15" s="12">
        <v>2019</v>
      </c>
      <c r="E15" s="12">
        <v>2021</v>
      </c>
      <c r="F15" s="13">
        <v>2617471.58</v>
      </c>
      <c r="G15" s="13">
        <v>1181533.3999999999</v>
      </c>
      <c r="H15" s="13">
        <v>1208063.6299999999</v>
      </c>
      <c r="I15" s="7">
        <v>1208063.6299999999</v>
      </c>
      <c r="J15" s="8">
        <f t="shared" si="0"/>
        <v>1</v>
      </c>
      <c r="K15" s="13">
        <v>0</v>
      </c>
      <c r="L15" s="7" t="s">
        <v>8</v>
      </c>
    </row>
    <row r="16" spans="1:12" ht="36" customHeight="1" x14ac:dyDescent="0.3">
      <c r="A16" s="5" t="s">
        <v>30</v>
      </c>
      <c r="B16" s="6" t="s">
        <v>31</v>
      </c>
      <c r="C16" s="11" t="s">
        <v>25</v>
      </c>
      <c r="D16" s="12">
        <v>2020</v>
      </c>
      <c r="E16" s="12">
        <v>2023</v>
      </c>
      <c r="F16" s="13">
        <v>7820280</v>
      </c>
      <c r="G16" s="13">
        <v>300000</v>
      </c>
      <c r="H16" s="13">
        <v>23745.15</v>
      </c>
      <c r="I16" s="7">
        <v>21886.01</v>
      </c>
      <c r="J16" s="8">
        <f t="shared" si="0"/>
        <v>0.92170443227353782</v>
      </c>
      <c r="K16" s="13">
        <v>7752015</v>
      </c>
      <c r="L16" s="7" t="s">
        <v>8</v>
      </c>
    </row>
    <row r="17" spans="1:12" ht="27" customHeight="1" x14ac:dyDescent="0.3">
      <c r="A17" s="5" t="s">
        <v>32</v>
      </c>
      <c r="B17" s="6" t="s">
        <v>33</v>
      </c>
      <c r="C17" s="11" t="s">
        <v>25</v>
      </c>
      <c r="D17" s="12">
        <v>2021</v>
      </c>
      <c r="E17" s="12">
        <v>2022</v>
      </c>
      <c r="F17" s="13">
        <v>78900</v>
      </c>
      <c r="G17" s="13">
        <v>0</v>
      </c>
      <c r="H17" s="13">
        <v>0</v>
      </c>
      <c r="I17" s="7">
        <v>0</v>
      </c>
      <c r="J17" s="8">
        <f t="shared" si="0"/>
        <v>0</v>
      </c>
      <c r="K17" s="13">
        <v>0</v>
      </c>
      <c r="L17" s="7"/>
    </row>
    <row r="18" spans="1:12" ht="27" customHeight="1" x14ac:dyDescent="0.3">
      <c r="A18" s="5" t="s">
        <v>34</v>
      </c>
      <c r="B18" s="6" t="s">
        <v>35</v>
      </c>
      <c r="C18" s="11" t="s">
        <v>25</v>
      </c>
      <c r="D18" s="12">
        <v>2021</v>
      </c>
      <c r="E18" s="12">
        <v>2022</v>
      </c>
      <c r="F18" s="13">
        <v>181907</v>
      </c>
      <c r="G18" s="13">
        <v>0</v>
      </c>
      <c r="H18" s="13">
        <v>0</v>
      </c>
      <c r="I18" s="7">
        <v>0</v>
      </c>
      <c r="J18" s="8">
        <f t="shared" si="0"/>
        <v>0</v>
      </c>
      <c r="K18" s="13">
        <v>0</v>
      </c>
      <c r="L18" s="7"/>
    </row>
    <row r="19" spans="1:12" ht="27" customHeight="1" x14ac:dyDescent="0.3">
      <c r="A19" s="1" t="s">
        <v>5</v>
      </c>
      <c r="B19" s="2" t="s">
        <v>36</v>
      </c>
      <c r="C19" s="2"/>
      <c r="D19" s="9"/>
      <c r="E19" s="9"/>
      <c r="F19" s="10">
        <f>IF(ISNUMBER(VLOOKUP("1.2.1",A7:L25,6,FALSE)),ROUND(VLOOKUP("1.2.1",A7:L25,6,FALSE),4),0) + IF(ISNUMBER(VLOOKUP("1.2.2",A7:L25,6,FALSE)),ROUND(VLOOKUP("1.2.2",A7:L25,6,FALSE),4),0)</f>
        <v>0</v>
      </c>
      <c r="G19" s="10">
        <f>IF(ISNUMBER(VLOOKUP("1.2.1",A7:L25,7,FALSE)),ROUND(VLOOKUP("1.2.1",A7:L25,7,FALSE),4),0) + IF(ISNUMBER(VLOOKUP("1.2.2",A7:L25,7,FALSE)),ROUND(VLOOKUP("1.2.2",A7:L25,7,FALSE),4),0)</f>
        <v>0</v>
      </c>
      <c r="H19" s="10">
        <f>IF(ISNUMBER(VLOOKUP("1.2.1",A7:L25,8,FALSE)),ROUND(VLOOKUP("1.2.1",A7:L25,8,FALSE),4),0) + IF(ISNUMBER(VLOOKUP("1.2.2",A7:L25,8,FALSE)),ROUND(VLOOKUP("1.2.2",A7:L25,8,FALSE),4),0)</f>
        <v>0</v>
      </c>
      <c r="I19" s="3">
        <f>IF(ISNUMBER(VLOOKUP("1.2.1",A7:L25,9,FALSE)),ROUND(VLOOKUP("1.2.1",A7:L25,9,FALSE),4),0) + IF(ISNUMBER(VLOOKUP("1.2.2",A7:L25,9,FALSE)),ROUND(VLOOKUP("1.2.2",A7:L25,9,FALSE),4),0)</f>
        <v>0</v>
      </c>
      <c r="J19" s="4">
        <f t="shared" si="0"/>
        <v>0</v>
      </c>
      <c r="K19" s="10">
        <f>IF(ISNUMBER(VLOOKUP("1.2.1",A7:L25,11,FALSE)),ROUND(VLOOKUP("1.2.1",A7:L25,11,FALSE),4),0) + IF(ISNUMBER(VLOOKUP("1.2.2",A7:L25,11,FALSE)),ROUND(VLOOKUP("1.2.2",A7:L25,11,FALSE),4),0)</f>
        <v>0</v>
      </c>
      <c r="L19" s="3">
        <f>IF(ISNUMBER(VLOOKUP("1.2.1",A7:L25,12,FALSE)),ROUND(VLOOKUP("1.2.1",A7:L25,12,FALSE),4),0) + IF(ISNUMBER(VLOOKUP("1.2.2",A7:L25,12,FALSE)),ROUND(VLOOKUP("1.2.2",A7:L25,12,FALSE),4),0)</f>
        <v>0</v>
      </c>
    </row>
    <row r="20" spans="1:12" ht="14.25" customHeight="1" x14ac:dyDescent="0.3">
      <c r="A20" s="1" t="s">
        <v>6</v>
      </c>
      <c r="B20" s="2" t="s">
        <v>19</v>
      </c>
      <c r="C20" s="2"/>
      <c r="D20" s="9"/>
      <c r="E20" s="9"/>
      <c r="F20" s="10">
        <f>SUMIF(A21:A25, "1.2.1.*", F21:F25)</f>
        <v>0</v>
      </c>
      <c r="G20" s="10">
        <f>SUMIF(A21:A25, "1.2.1.*", G21:G25)</f>
        <v>0</v>
      </c>
      <c r="H20" s="10">
        <f>SUMIF(A21:A25, "1.2.1.*", H21:H25)</f>
        <v>0</v>
      </c>
      <c r="I20" s="3">
        <f>SUMIF(A21:A25, "1.2.1.*", I21:I25)</f>
        <v>0</v>
      </c>
      <c r="J20" s="4">
        <f t="shared" si="0"/>
        <v>0</v>
      </c>
      <c r="K20" s="10">
        <f>SUMIF(A21:A25, "1.2.1.*", K21:K25)</f>
        <v>0</v>
      </c>
      <c r="L20" s="3">
        <f>SUMIF(A21:A25, "1.2.1.*", L21:L25)</f>
        <v>0</v>
      </c>
    </row>
    <row r="21" spans="1:12" ht="14.25" customHeight="1" x14ac:dyDescent="0.3">
      <c r="A21" s="1" t="s">
        <v>7</v>
      </c>
      <c r="B21" s="2" t="s">
        <v>21</v>
      </c>
      <c r="C21" s="2"/>
      <c r="D21" s="9"/>
      <c r="E21" s="9"/>
      <c r="F21" s="10">
        <f>SUMIF(A22:A25, "1.2.2.*", F22:F25)</f>
        <v>0</v>
      </c>
      <c r="G21" s="10">
        <f>SUMIF(A22:A25, "1.2.2.*", G22:G25)</f>
        <v>0</v>
      </c>
      <c r="H21" s="10">
        <f>SUMIF(A22:A25, "1.2.2.*", H22:H25)</f>
        <v>0</v>
      </c>
      <c r="I21" s="3">
        <f>SUMIF(A22:A25, "1.2.2.*", I22:I25)</f>
        <v>0</v>
      </c>
      <c r="J21" s="4">
        <f t="shared" si="0"/>
        <v>0</v>
      </c>
      <c r="K21" s="10">
        <f>SUMIF(A22:A25, "1.2.2.*", K22:K25)</f>
        <v>0</v>
      </c>
      <c r="L21" s="3">
        <f>SUMIF(A22:A25, "1.2.2.*", L22:L25)</f>
        <v>0</v>
      </c>
    </row>
    <row r="22" spans="1:12" ht="27" customHeight="1" x14ac:dyDescent="0.3">
      <c r="A22" s="1" t="s">
        <v>37</v>
      </c>
      <c r="B22" s="2" t="s">
        <v>38</v>
      </c>
      <c r="C22" s="2"/>
      <c r="D22" s="9"/>
      <c r="E22" s="9"/>
      <c r="F22" s="10">
        <f>IF(ISNUMBER(VLOOKUP("1.3.1",A7:L25,6,FALSE)),ROUND(VLOOKUP("1.3.1",A7:L25,6,FALSE),4),0) + IF(ISNUMBER(VLOOKUP("1.3.2",A7:L25,6,FALSE)),ROUND(VLOOKUP("1.3.2",A7:L25,6,FALSE),4),0)</f>
        <v>0</v>
      </c>
      <c r="G22" s="10">
        <f>IF(ISNUMBER(VLOOKUP("1.3.1",A7:L25,7,FALSE)),ROUND(VLOOKUP("1.3.1",A7:L25,7,FALSE),4),0) + IF(ISNUMBER(VLOOKUP("1.3.2",A7:L25,7,FALSE)),ROUND(VLOOKUP("1.3.2",A7:L25,7,FALSE),4),0)</f>
        <v>0</v>
      </c>
      <c r="H22" s="10">
        <f>IF(ISNUMBER(VLOOKUP("1.3.1",A7:L25,8,FALSE)),ROUND(VLOOKUP("1.3.1",A7:L25,8,FALSE),4),0) + IF(ISNUMBER(VLOOKUP("1.3.2",A7:L25,8,FALSE)),ROUND(VLOOKUP("1.3.2",A7:L25,8,FALSE),4),0)</f>
        <v>0</v>
      </c>
      <c r="I22" s="3">
        <f>IF(ISNUMBER(VLOOKUP("1.3.1",A7:L25,9,FALSE)),ROUND(VLOOKUP("1.3.1",A7:L25,9,FALSE),4),0) + IF(ISNUMBER(VLOOKUP("1.3.2",A7:L25,9,FALSE)),ROUND(VLOOKUP("1.3.2",A7:L25,9,FALSE),4),0)</f>
        <v>0</v>
      </c>
      <c r="J22" s="4">
        <f t="shared" si="0"/>
        <v>0</v>
      </c>
      <c r="K22" s="10">
        <f>IF(ISNUMBER(VLOOKUP("1.3.1",A7:L25,11,FALSE)),ROUND(VLOOKUP("1.3.1",A7:L25,11,FALSE),4),0) + IF(ISNUMBER(VLOOKUP("1.3.2",A7:L25,11,FALSE)),ROUND(VLOOKUP("1.3.2",A7:L25,11,FALSE),4),0)</f>
        <v>0</v>
      </c>
      <c r="L22" s="3">
        <f>IF(ISNUMBER(VLOOKUP("1.3.1",A7:L25,12,FALSE)),ROUND(VLOOKUP("1.3.1",A7:L25,12,FALSE),4),0) + IF(ISNUMBER(VLOOKUP("1.3.2",A7:L25,12,FALSE)),ROUND(VLOOKUP("1.3.2",A7:L25,12,FALSE),4),0)</f>
        <v>0</v>
      </c>
    </row>
    <row r="23" spans="1:12" ht="14.25" customHeight="1" x14ac:dyDescent="0.3">
      <c r="A23" s="1" t="s">
        <v>39</v>
      </c>
      <c r="B23" s="2" t="s">
        <v>19</v>
      </c>
      <c r="C23" s="2"/>
      <c r="D23" s="9"/>
      <c r="E23" s="9"/>
      <c r="F23" s="10">
        <f>SUMIF(A24:A25, "1.3.1.*", F24:F25)</f>
        <v>0</v>
      </c>
      <c r="G23" s="10">
        <f>SUMIF(A24:A25, "1.3.1.*", G24:G25)</f>
        <v>0</v>
      </c>
      <c r="H23" s="10">
        <f>SUMIF(A24:A25, "1.3.1.*", H24:H25)</f>
        <v>0</v>
      </c>
      <c r="I23" s="3">
        <f>SUMIF(A24:A25, "1.3.1.*", I24:I25)</f>
        <v>0</v>
      </c>
      <c r="J23" s="4">
        <f t="shared" si="0"/>
        <v>0</v>
      </c>
      <c r="K23" s="10">
        <f>SUMIF(A24:A25, "1.3.1.*", K24:K25)</f>
        <v>0</v>
      </c>
      <c r="L23" s="3">
        <f>SUMIF(A24:A25, "1.3.1.*", L24:L25)</f>
        <v>0</v>
      </c>
    </row>
    <row r="24" spans="1:12" ht="14.25" customHeight="1" x14ac:dyDescent="0.3">
      <c r="A24" s="1" t="s">
        <v>40</v>
      </c>
      <c r="B24" s="2" t="s">
        <v>21</v>
      </c>
      <c r="C24" s="2"/>
      <c r="D24" s="9"/>
      <c r="E24" s="9"/>
      <c r="F24" s="10">
        <f>SUMIF(A25:A25, "1.3.2.*", F25:F25)</f>
        <v>0</v>
      </c>
      <c r="G24" s="10">
        <f>SUMIF(A25:A25, "1.3.2.*", G25:G25)</f>
        <v>0</v>
      </c>
      <c r="H24" s="10">
        <f>SUMIF(A25:A25, "1.3.2.*", H25:H25)</f>
        <v>0</v>
      </c>
      <c r="I24" s="3">
        <f>SUMIF(A25:A25, "1.3.2.*", I25:I25)</f>
        <v>0</v>
      </c>
      <c r="J24" s="4">
        <f t="shared" si="0"/>
        <v>0</v>
      </c>
      <c r="K24" s="10">
        <f>SUMIF(A25:A25, "1.3.2.*", K25:K25)</f>
        <v>0</v>
      </c>
      <c r="L24" s="3">
        <f>SUMIF(A25:A25, "1.3.2.*", L25:L25)</f>
        <v>0</v>
      </c>
    </row>
  </sheetData>
  <mergeCells count="3">
    <mergeCell ref="A1:L1"/>
    <mergeCell ref="A3:L3"/>
    <mergeCell ref="K2:L2"/>
  </mergeCells>
  <conditionalFormatting sqref="B11:L11">
    <cfRule type="beginsWith" dxfId="11" priority="1" operator="beginsWith" text="Tak">
      <formula>LEFT(B11,LEN("Tak"))="Tak"</formula>
    </cfRule>
    <cfRule type="beginsWith" dxfId="10" priority="2" operator="beginsWith" text="Nie">
      <formula>LEFT(B11,LEN("Nie"))="Nie"</formula>
    </cfRule>
  </conditionalFormatting>
  <conditionalFormatting sqref="B13:L13">
    <cfRule type="beginsWith" dxfId="9" priority="3" operator="beginsWith" text="Tak">
      <formula>LEFT(B13,LEN("Tak"))="Tak"</formula>
    </cfRule>
    <cfRule type="beginsWith" dxfId="8" priority="4" operator="beginsWith" text="Nie">
      <formula>LEFT(B13,LEN("Nie"))="Nie"</formula>
    </cfRule>
  </conditionalFormatting>
  <conditionalFormatting sqref="B20:L20">
    <cfRule type="beginsWith" dxfId="7" priority="5" operator="beginsWith" text="Tak">
      <formula>LEFT(B20,LEN("Tak"))="Tak"</formula>
    </cfRule>
    <cfRule type="beginsWith" dxfId="6" priority="6" operator="beginsWith" text="Nie">
      <formula>LEFT(B20,LEN("Nie"))="Nie"</formula>
    </cfRule>
  </conditionalFormatting>
  <conditionalFormatting sqref="B21:L21">
    <cfRule type="beginsWith" dxfId="5" priority="7" operator="beginsWith" text="Tak">
      <formula>LEFT(B21,LEN("Tak"))="Tak"</formula>
    </cfRule>
    <cfRule type="beginsWith" dxfId="4" priority="8" operator="beginsWith" text="Nie">
      <formula>LEFT(B21,LEN("Nie"))="Nie"</formula>
    </cfRule>
  </conditionalFormatting>
  <conditionalFormatting sqref="B23:L23">
    <cfRule type="beginsWith" dxfId="3" priority="9" operator="beginsWith" text="Tak">
      <formula>LEFT(B23,LEN("Tak"))="Tak"</formula>
    </cfRule>
    <cfRule type="beginsWith" dxfId="2" priority="10" operator="beginsWith" text="Nie">
      <formula>LEFT(B23,LEN("Nie"))="Nie"</formula>
    </cfRule>
  </conditionalFormatting>
  <conditionalFormatting sqref="B24:L24">
    <cfRule type="beginsWith" dxfId="1" priority="11" operator="beginsWith" text="Tak">
      <formula>LEFT(B24,LEN("Tak"))="Tak"</formula>
    </cfRule>
    <cfRule type="beginsWith" dxfId="0" priority="12" operator="beginsWith" text="Nie">
      <formula>LEFT(B24,LEN("Nie"))="Nie"</formula>
    </cfRule>
  </conditionalFormatting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Załącznik Nr 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Wieloletnia prognoza finansowa</dc:title>
  <dc:subject>WPF Asystent - Zbiorczy</dc:subject>
  <dc:creator>http://www.curulis.pl</dc:creator>
  <cp:keywords>wpf, curulis, wieloletnia prognoza finansowa, wpf asystent</cp:keywords>
  <cp:lastModifiedBy>Czesława Trautman</cp:lastModifiedBy>
  <cp:lastPrinted>2022-03-25T12:11:58Z</cp:lastPrinted>
  <dcterms:modified xsi:type="dcterms:W3CDTF">2022-03-28T10:02:26Z</dcterms:modified>
</cp:coreProperties>
</file>